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8340" tabRatio="599"/>
  </bookViews>
  <sheets>
    <sheet name="год" sheetId="11" r:id="rId1"/>
    <sheet name="Лист1" sheetId="13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1"/>
  <c r="G22"/>
  <c r="E22"/>
  <c r="D22"/>
  <c r="H40" l="1"/>
  <c r="G40"/>
  <c r="H39"/>
  <c r="G39"/>
  <c r="H38"/>
  <c r="G38"/>
  <c r="H37"/>
  <c r="G37"/>
  <c r="H25" l="1"/>
  <c r="G25"/>
  <c r="H21"/>
  <c r="G21"/>
  <c r="H14"/>
  <c r="G14"/>
  <c r="H26"/>
  <c r="G26"/>
  <c r="H13"/>
  <c r="G13"/>
  <c r="H3"/>
  <c r="G3"/>
  <c r="H20"/>
  <c r="G20"/>
  <c r="H11"/>
  <c r="G11"/>
  <c r="H2"/>
  <c r="G2"/>
  <c r="H18"/>
  <c r="G18"/>
  <c r="H9"/>
  <c r="G9"/>
  <c r="H6"/>
  <c r="G6"/>
  <c r="G23"/>
  <c r="H7"/>
  <c r="G7"/>
  <c r="H24"/>
  <c r="G24"/>
  <c r="H15"/>
  <c r="G15"/>
  <c r="H16"/>
  <c r="G16"/>
  <c r="H19"/>
  <c r="G19"/>
  <c r="H10"/>
  <c r="G10"/>
  <c r="H5"/>
  <c r="G5"/>
  <c r="H8"/>
  <c r="G8"/>
  <c r="H17"/>
  <c r="G17"/>
  <c r="H12"/>
  <c r="G12"/>
  <c r="H4"/>
  <c r="G4"/>
  <c r="C23"/>
  <c r="C4"/>
  <c r="E40" l="1"/>
  <c r="D40"/>
  <c r="E39"/>
  <c r="D39"/>
  <c r="E38"/>
  <c r="D38"/>
  <c r="E37"/>
  <c r="D37"/>
  <c r="E25" l="1"/>
  <c r="D25"/>
  <c r="E21"/>
  <c r="D21"/>
  <c r="E14"/>
  <c r="D14"/>
  <c r="E26"/>
  <c r="D26"/>
  <c r="E13"/>
  <c r="D13"/>
  <c r="D16"/>
  <c r="E16"/>
  <c r="E3"/>
  <c r="D3"/>
  <c r="E11"/>
  <c r="D11"/>
  <c r="E2"/>
  <c r="D2"/>
  <c r="E18"/>
  <c r="D18"/>
  <c r="E9"/>
  <c r="D9"/>
  <c r="E6"/>
  <c r="D6"/>
  <c r="E23"/>
  <c r="D23"/>
  <c r="E27"/>
  <c r="D27"/>
  <c r="E7"/>
  <c r="D7"/>
  <c r="E24"/>
  <c r="D24"/>
  <c r="E15"/>
  <c r="D15"/>
  <c r="E19"/>
  <c r="D19"/>
  <c r="E10"/>
  <c r="D10"/>
  <c r="E5"/>
  <c r="D5"/>
  <c r="E8"/>
  <c r="D8"/>
  <c r="E17"/>
  <c r="D17"/>
  <c r="E12"/>
  <c r="D12"/>
  <c r="E29"/>
  <c r="D29"/>
  <c r="C22" l="1"/>
  <c r="C43" l="1"/>
  <c r="I29" l="1"/>
  <c r="I12"/>
  <c r="I30"/>
  <c r="I17"/>
  <c r="I8"/>
  <c r="I24"/>
  <c r="I7"/>
  <c r="I27"/>
  <c r="I23"/>
  <c r="I9"/>
  <c r="I18"/>
  <c r="I2"/>
  <c r="I20"/>
  <c r="I13"/>
  <c r="I26"/>
  <c r="I14"/>
  <c r="I21"/>
  <c r="I25"/>
  <c r="I28"/>
  <c r="I4"/>
  <c r="I3"/>
  <c r="I11"/>
  <c r="I6"/>
  <c r="I15"/>
  <c r="I16"/>
  <c r="I19"/>
  <c r="I10"/>
  <c r="I5"/>
  <c r="F29" l="1"/>
  <c r="F12"/>
  <c r="F30"/>
  <c r="F17"/>
  <c r="F8"/>
  <c r="F5"/>
  <c r="F10"/>
  <c r="F19"/>
  <c r="F16"/>
  <c r="F15"/>
  <c r="F24"/>
  <c r="F7"/>
  <c r="F27"/>
  <c r="F23"/>
  <c r="F6"/>
  <c r="F9"/>
  <c r="F18"/>
  <c r="F2"/>
  <c r="F11"/>
  <c r="F20"/>
  <c r="F3"/>
  <c r="F13"/>
  <c r="F26"/>
  <c r="F14"/>
  <c r="F21"/>
  <c r="F25"/>
  <c r="F28"/>
  <c r="F4"/>
  <c r="F37"/>
  <c r="F38"/>
  <c r="F39"/>
  <c r="F40"/>
  <c r="F41"/>
  <c r="I38" l="1"/>
  <c r="I39"/>
  <c r="I40"/>
  <c r="I41"/>
  <c r="I37"/>
  <c r="C32" l="1"/>
  <c r="G8" i="13" l="1"/>
  <c r="E8"/>
  <c r="C8" s="1"/>
  <c r="G7"/>
  <c r="E7"/>
  <c r="C7" l="1"/>
  <c r="H7" s="1"/>
  <c r="H8"/>
  <c r="J10" i="11"/>
  <c r="J4"/>
  <c r="D43"/>
  <c r="D32" l="1"/>
  <c r="F43"/>
  <c r="L40"/>
  <c r="L37"/>
  <c r="L39"/>
  <c r="L17"/>
  <c r="L12"/>
  <c r="L25"/>
  <c r="L16"/>
  <c r="L27"/>
  <c r="L13"/>
  <c r="L3"/>
  <c r="L21"/>
  <c r="L11"/>
  <c r="L10"/>
  <c r="L24"/>
  <c r="L6"/>
  <c r="L5"/>
  <c r="L15"/>
  <c r="L8"/>
  <c r="L19"/>
  <c r="L7"/>
  <c r="L28"/>
  <c r="K38"/>
  <c r="K39"/>
  <c r="K40"/>
  <c r="K37"/>
  <c r="K4"/>
  <c r="K28"/>
  <c r="K7"/>
  <c r="K30"/>
  <c r="K19"/>
  <c r="K8"/>
  <c r="K15"/>
  <c r="K5"/>
  <c r="K17"/>
  <c r="K6"/>
  <c r="K18"/>
  <c r="K9"/>
  <c r="K24"/>
  <c r="K10"/>
  <c r="K11"/>
  <c r="K21"/>
  <c r="K3"/>
  <c r="K13"/>
  <c r="K2"/>
  <c r="K27"/>
  <c r="K16"/>
  <c r="K20"/>
  <c r="K26"/>
  <c r="K25"/>
  <c r="K23"/>
  <c r="K12"/>
  <c r="K14"/>
  <c r="J38"/>
  <c r="J39"/>
  <c r="J40"/>
  <c r="J37"/>
  <c r="J28"/>
  <c r="J7"/>
  <c r="J30"/>
  <c r="J19"/>
  <c r="J8"/>
  <c r="J15"/>
  <c r="J5"/>
  <c r="J17"/>
  <c r="J6"/>
  <c r="J18"/>
  <c r="J9"/>
  <c r="J24"/>
  <c r="J11"/>
  <c r="J21"/>
  <c r="J3"/>
  <c r="J13"/>
  <c r="J2"/>
  <c r="J27"/>
  <c r="J16"/>
  <c r="J20"/>
  <c r="J26"/>
  <c r="J25"/>
  <c r="J23"/>
  <c r="J12"/>
  <c r="J14"/>
  <c r="E43"/>
  <c r="G43"/>
  <c r="H43"/>
  <c r="K43"/>
  <c r="E32" l="1"/>
  <c r="F32" s="1"/>
  <c r="K22"/>
  <c r="G32"/>
  <c r="K32" s="1"/>
  <c r="H32"/>
  <c r="I22"/>
  <c r="J43"/>
  <c r="I43"/>
  <c r="L43" s="1"/>
  <c r="F22" l="1"/>
  <c r="J22"/>
  <c r="J32"/>
  <c r="I32"/>
  <c r="L32" s="1"/>
  <c r="L22"/>
</calcChain>
</file>

<file path=xl/sharedStrings.xml><?xml version="1.0" encoding="utf-8"?>
<sst xmlns="http://schemas.openxmlformats.org/spreadsheetml/2006/main" count="56" uniqueCount="56">
  <si>
    <t>№ п/п</t>
  </si>
  <si>
    <t>МО</t>
  </si>
  <si>
    <t>Количество обучающихся, принявших участие</t>
  </si>
  <si>
    <t>Количество обучающихся, выполнивших</t>
  </si>
  <si>
    <t>гор. Волгореченск</t>
  </si>
  <si>
    <t xml:space="preserve">Судиславский </t>
  </si>
  <si>
    <t xml:space="preserve">Красносельский </t>
  </si>
  <si>
    <t xml:space="preserve">Антроповский </t>
  </si>
  <si>
    <t xml:space="preserve">Солигаличский </t>
  </si>
  <si>
    <t>гор. Буй</t>
  </si>
  <si>
    <t xml:space="preserve">Буйский </t>
  </si>
  <si>
    <t xml:space="preserve">Октябрьский </t>
  </si>
  <si>
    <t>гор. Мантурово</t>
  </si>
  <si>
    <t>гор. Галич</t>
  </si>
  <si>
    <t xml:space="preserve">Галичский </t>
  </si>
  <si>
    <t xml:space="preserve">Чухломский </t>
  </si>
  <si>
    <t xml:space="preserve">Макарьевский </t>
  </si>
  <si>
    <t xml:space="preserve">Парфеньевский </t>
  </si>
  <si>
    <t xml:space="preserve">Сусанинский </t>
  </si>
  <si>
    <t xml:space="preserve">Павинский </t>
  </si>
  <si>
    <t>Нерехта и Нерехтский район</t>
  </si>
  <si>
    <t>Нея и Нейский район</t>
  </si>
  <si>
    <t xml:space="preserve">Шарьинский </t>
  </si>
  <si>
    <t xml:space="preserve">Пыщугский </t>
  </si>
  <si>
    <t xml:space="preserve">Костромской </t>
  </si>
  <si>
    <t xml:space="preserve">Кадыйский </t>
  </si>
  <si>
    <t>гор. Кострома</t>
  </si>
  <si>
    <t xml:space="preserve">Межевской </t>
  </si>
  <si>
    <t xml:space="preserve">Кологривский </t>
  </si>
  <si>
    <t xml:space="preserve">Вохомский </t>
  </si>
  <si>
    <t xml:space="preserve">Поназыревский </t>
  </si>
  <si>
    <t xml:space="preserve">Островский </t>
  </si>
  <si>
    <t>ИТОГО</t>
  </si>
  <si>
    <t>Принявшие участие всего</t>
  </si>
  <si>
    <t>Зарегистрированные всего</t>
  </si>
  <si>
    <t>ЦОКО</t>
  </si>
  <si>
    <t>ДЮСШ 5</t>
  </si>
  <si>
    <t>Региональный оператор</t>
  </si>
  <si>
    <t>Политехнический колледж</t>
  </si>
  <si>
    <t>Разбивка по городу Костроме:</t>
  </si>
  <si>
    <t>Количество выполнивших всего</t>
  </si>
  <si>
    <t>ВСЕГО:</t>
  </si>
  <si>
    <t>% Обучающихся выполнивших</t>
  </si>
  <si>
    <t xml:space="preserve">% выполнивших всего </t>
  </si>
  <si>
    <t>Количество Взрослого населения, принявших участие</t>
  </si>
  <si>
    <t>Количество выполнивших взврослого населения</t>
  </si>
  <si>
    <t>% выполнивших взврослого населения</t>
  </si>
  <si>
    <t>гор. Шарья</t>
  </si>
  <si>
    <t>КГУ</t>
  </si>
  <si>
    <t>уч</t>
  </si>
  <si>
    <t>доп уч</t>
  </si>
  <si>
    <t>зн</t>
  </si>
  <si>
    <t>нех зн</t>
  </si>
  <si>
    <t>%</t>
  </si>
  <si>
    <t>итог %</t>
  </si>
  <si>
    <t>доп зн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</si>
</sst>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5" xfId="0" applyBorder="1"/>
    <xf numFmtId="0" fontId="1" fillId="0" borderId="5" xfId="0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4" xfId="0" applyFont="1" applyFill="1" applyBorder="1" applyAlignment="1">
      <alignment horizontal="left" vertical="center" wrapText="1"/>
    </xf>
    <xf numFmtId="10" fontId="2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0" fontId="2" fillId="2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/>
    <xf numFmtId="10" fontId="2" fillId="3" borderId="1" xfId="0" applyNumberFormat="1" applyFont="1" applyFill="1" applyBorder="1" applyAlignment="1">
      <alignment horizontal="center" vertical="center" wrapText="1"/>
    </xf>
    <xf numFmtId="10" fontId="2" fillId="4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0" fontId="2" fillId="5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70" zoomScaleNormal="70" workbookViewId="0">
      <pane xSplit="2" topLeftCell="C1" activePane="topRight" state="frozen"/>
      <selection activeCell="G36" sqref="G36"/>
      <selection pane="topRight" activeCell="I35" sqref="I35"/>
    </sheetView>
  </sheetViews>
  <sheetFormatPr defaultRowHeight="15"/>
  <cols>
    <col min="1" max="1" width="5.7109375" bestFit="1" customWidth="1"/>
    <col min="2" max="2" width="37.7109375" bestFit="1" customWidth="1"/>
    <col min="3" max="4" width="20.7109375" customWidth="1"/>
    <col min="5" max="5" width="20" customWidth="1"/>
    <col min="6" max="6" width="24.42578125" customWidth="1"/>
    <col min="7" max="8" width="20.7109375" customWidth="1"/>
    <col min="9" max="9" width="19.140625" customWidth="1"/>
    <col min="10" max="11" width="19.42578125" customWidth="1"/>
    <col min="12" max="12" width="18.140625" customWidth="1"/>
    <col min="13" max="13" width="9.140625" customWidth="1"/>
  </cols>
  <sheetData>
    <row r="1" spans="1:12" ht="78" customHeight="1" thickBot="1">
      <c r="A1" s="1" t="s">
        <v>0</v>
      </c>
      <c r="B1" s="2" t="s">
        <v>1</v>
      </c>
      <c r="C1" s="2" t="s">
        <v>34</v>
      </c>
      <c r="D1" s="2" t="s">
        <v>33</v>
      </c>
      <c r="E1" s="2" t="s">
        <v>2</v>
      </c>
      <c r="F1" s="16" t="s">
        <v>44</v>
      </c>
      <c r="G1" s="2" t="s">
        <v>40</v>
      </c>
      <c r="H1" s="2" t="s">
        <v>3</v>
      </c>
      <c r="I1" s="16" t="s">
        <v>45</v>
      </c>
      <c r="J1" s="2" t="s">
        <v>42</v>
      </c>
      <c r="K1" s="1" t="s">
        <v>43</v>
      </c>
      <c r="L1" s="18" t="s">
        <v>46</v>
      </c>
    </row>
    <row r="2" spans="1:12" s="10" customFormat="1" ht="18" customHeight="1" thickBot="1">
      <c r="A2" s="7">
        <v>1</v>
      </c>
      <c r="B2" s="11" t="s">
        <v>31</v>
      </c>
      <c r="C2" s="12">
        <v>1509</v>
      </c>
      <c r="D2" s="12">
        <f>20+20</f>
        <v>40</v>
      </c>
      <c r="E2" s="12">
        <f>20+18</f>
        <v>38</v>
      </c>
      <c r="F2" s="12">
        <f t="shared" ref="F2:F30" si="0">D2-E2</f>
        <v>2</v>
      </c>
      <c r="G2" s="12">
        <f>11+16</f>
        <v>27</v>
      </c>
      <c r="H2" s="12">
        <f>11+14</f>
        <v>25</v>
      </c>
      <c r="I2" s="12">
        <f t="shared" ref="I2:I30" si="1">G2-H2</f>
        <v>2</v>
      </c>
      <c r="J2" s="36">
        <f t="shared" ref="J2:J28" si="2">H2/E2</f>
        <v>0.65789473684210531</v>
      </c>
      <c r="K2" s="19">
        <f t="shared" ref="K2:K28" si="3">G2/D2</f>
        <v>0.67500000000000004</v>
      </c>
      <c r="L2" s="19">
        <v>0</v>
      </c>
    </row>
    <row r="3" spans="1:12" s="13" customFormat="1" ht="18" customHeight="1" thickBot="1">
      <c r="A3" s="7">
        <v>2</v>
      </c>
      <c r="B3" s="11" t="s">
        <v>30</v>
      </c>
      <c r="C3" s="12">
        <v>915</v>
      </c>
      <c r="D3" s="12">
        <f>37+34</f>
        <v>71</v>
      </c>
      <c r="E3" s="12">
        <f>27+21</f>
        <v>48</v>
      </c>
      <c r="F3" s="12">
        <f t="shared" si="0"/>
        <v>23</v>
      </c>
      <c r="G3" s="12">
        <f>12+28</f>
        <v>40</v>
      </c>
      <c r="H3" s="12">
        <f>11+18</f>
        <v>29</v>
      </c>
      <c r="I3" s="12">
        <f t="shared" si="1"/>
        <v>11</v>
      </c>
      <c r="J3" s="36">
        <f t="shared" si="2"/>
        <v>0.60416666666666663</v>
      </c>
      <c r="K3" s="19">
        <f t="shared" si="3"/>
        <v>0.56338028169014087</v>
      </c>
      <c r="L3" s="19">
        <f>I3/F3</f>
        <v>0.47826086956521741</v>
      </c>
    </row>
    <row r="4" spans="1:12" s="13" customFormat="1" ht="18" customHeight="1" thickBot="1">
      <c r="A4" s="7">
        <v>3</v>
      </c>
      <c r="B4" s="11" t="s">
        <v>7</v>
      </c>
      <c r="C4" s="12">
        <f>964-200</f>
        <v>764</v>
      </c>
      <c r="D4" s="12">
        <v>20</v>
      </c>
      <c r="E4" s="12">
        <v>20</v>
      </c>
      <c r="F4" s="12">
        <f t="shared" si="0"/>
        <v>0</v>
      </c>
      <c r="G4" s="12">
        <f>10+1</f>
        <v>11</v>
      </c>
      <c r="H4" s="12">
        <f>10+1</f>
        <v>11</v>
      </c>
      <c r="I4" s="12">
        <f t="shared" si="1"/>
        <v>0</v>
      </c>
      <c r="J4" s="36">
        <f t="shared" si="2"/>
        <v>0.55000000000000004</v>
      </c>
      <c r="K4" s="25">
        <f t="shared" si="3"/>
        <v>0.55000000000000004</v>
      </c>
      <c r="L4" s="19">
        <v>0</v>
      </c>
    </row>
    <row r="5" spans="1:12" s="13" customFormat="1" ht="18" customHeight="1" thickBot="1">
      <c r="A5" s="7">
        <v>4</v>
      </c>
      <c r="B5" s="11" t="s">
        <v>13</v>
      </c>
      <c r="C5" s="12">
        <v>3095</v>
      </c>
      <c r="D5" s="12">
        <f>86+108</f>
        <v>194</v>
      </c>
      <c r="E5" s="12">
        <f>68+106</f>
        <v>174</v>
      </c>
      <c r="F5" s="12">
        <f t="shared" si="0"/>
        <v>20</v>
      </c>
      <c r="G5" s="12">
        <f>23+70</f>
        <v>93</v>
      </c>
      <c r="H5" s="12">
        <f>11+68</f>
        <v>79</v>
      </c>
      <c r="I5" s="12">
        <f t="shared" si="1"/>
        <v>14</v>
      </c>
      <c r="J5" s="36">
        <f t="shared" si="2"/>
        <v>0.45402298850574713</v>
      </c>
      <c r="K5" s="19">
        <f t="shared" si="3"/>
        <v>0.47938144329896909</v>
      </c>
      <c r="L5" s="19">
        <f>I5/F5</f>
        <v>0.7</v>
      </c>
    </row>
    <row r="6" spans="1:12" s="13" customFormat="1" ht="18" customHeight="1" thickBot="1">
      <c r="A6" s="7">
        <v>5</v>
      </c>
      <c r="B6" s="11" t="s">
        <v>20</v>
      </c>
      <c r="C6" s="12">
        <v>6245</v>
      </c>
      <c r="D6" s="12">
        <f>325+2</f>
        <v>327</v>
      </c>
      <c r="E6" s="12">
        <f>323+1</f>
        <v>324</v>
      </c>
      <c r="F6" s="12">
        <f t="shared" si="0"/>
        <v>3</v>
      </c>
      <c r="G6" s="12">
        <f>121+35</f>
        <v>156</v>
      </c>
      <c r="H6" s="12">
        <f>120+34</f>
        <v>154</v>
      </c>
      <c r="I6" s="12">
        <f t="shared" si="1"/>
        <v>2</v>
      </c>
      <c r="J6" s="36">
        <f t="shared" si="2"/>
        <v>0.47530864197530864</v>
      </c>
      <c r="K6" s="19">
        <f t="shared" si="3"/>
        <v>0.47706422018348627</v>
      </c>
      <c r="L6" s="19">
        <f>I6/F6</f>
        <v>0.66666666666666663</v>
      </c>
    </row>
    <row r="7" spans="1:12" s="13" customFormat="1" ht="18" customHeight="1" thickBot="1">
      <c r="A7" s="7">
        <v>6</v>
      </c>
      <c r="B7" s="11" t="s">
        <v>6</v>
      </c>
      <c r="C7" s="12">
        <v>2368</v>
      </c>
      <c r="D7" s="12">
        <f>45+16</f>
        <v>61</v>
      </c>
      <c r="E7" s="12">
        <f>41+9</f>
        <v>50</v>
      </c>
      <c r="F7" s="12">
        <f t="shared" si="0"/>
        <v>11</v>
      </c>
      <c r="G7" s="12">
        <f>17+11</f>
        <v>28</v>
      </c>
      <c r="H7" s="12">
        <f>13+7</f>
        <v>20</v>
      </c>
      <c r="I7" s="12">
        <f t="shared" si="1"/>
        <v>8</v>
      </c>
      <c r="J7" s="36">
        <f t="shared" si="2"/>
        <v>0.4</v>
      </c>
      <c r="K7" s="19">
        <f t="shared" si="3"/>
        <v>0.45901639344262296</v>
      </c>
      <c r="L7" s="19">
        <f>I7/F7</f>
        <v>0.72727272727272729</v>
      </c>
    </row>
    <row r="8" spans="1:12" s="13" customFormat="1" ht="18" customHeight="1" thickBot="1">
      <c r="A8" s="7">
        <v>7</v>
      </c>
      <c r="B8" s="11" t="s">
        <v>4</v>
      </c>
      <c r="C8" s="12">
        <v>2246</v>
      </c>
      <c r="D8" s="12">
        <f>118+6</f>
        <v>124</v>
      </c>
      <c r="E8" s="12">
        <f>89+4</f>
        <v>93</v>
      </c>
      <c r="F8" s="12">
        <f t="shared" si="0"/>
        <v>31</v>
      </c>
      <c r="G8" s="12">
        <f>45+7</f>
        <v>52</v>
      </c>
      <c r="H8" s="12">
        <f>32+4</f>
        <v>36</v>
      </c>
      <c r="I8" s="12">
        <f t="shared" si="1"/>
        <v>16</v>
      </c>
      <c r="J8" s="36">
        <f t="shared" si="2"/>
        <v>0.38709677419354838</v>
      </c>
      <c r="K8" s="25">
        <f t="shared" si="3"/>
        <v>0.41935483870967744</v>
      </c>
      <c r="L8" s="19">
        <f>I8/F8</f>
        <v>0.5161290322580645</v>
      </c>
    </row>
    <row r="9" spans="1:12" s="13" customFormat="1" ht="18" customHeight="1" thickBot="1">
      <c r="A9" s="7">
        <v>8</v>
      </c>
      <c r="B9" s="11" t="s">
        <v>21</v>
      </c>
      <c r="C9" s="12">
        <v>1881</v>
      </c>
      <c r="D9" s="12">
        <f>20+23</f>
        <v>43</v>
      </c>
      <c r="E9" s="12">
        <f>20+22</f>
        <v>42</v>
      </c>
      <c r="F9" s="12">
        <f t="shared" si="0"/>
        <v>1</v>
      </c>
      <c r="G9" s="12">
        <f>14+4</f>
        <v>18</v>
      </c>
      <c r="H9" s="12">
        <f>14+4</f>
        <v>18</v>
      </c>
      <c r="I9" s="12">
        <f t="shared" si="1"/>
        <v>0</v>
      </c>
      <c r="J9" s="36">
        <f t="shared" si="2"/>
        <v>0.42857142857142855</v>
      </c>
      <c r="K9" s="19">
        <f t="shared" si="3"/>
        <v>0.41860465116279072</v>
      </c>
      <c r="L9" s="19">
        <v>0</v>
      </c>
    </row>
    <row r="10" spans="1:12" s="13" customFormat="1" ht="18" customHeight="1" thickBot="1">
      <c r="A10" s="7">
        <v>9</v>
      </c>
      <c r="B10" s="11" t="s">
        <v>12</v>
      </c>
      <c r="C10" s="12">
        <v>2520</v>
      </c>
      <c r="D10" s="12">
        <f>285+68</f>
        <v>353</v>
      </c>
      <c r="E10" s="12">
        <f>191+47</f>
        <v>238</v>
      </c>
      <c r="F10" s="12">
        <f t="shared" si="0"/>
        <v>115</v>
      </c>
      <c r="G10" s="12">
        <f>96+50</f>
        <v>146</v>
      </c>
      <c r="H10" s="12">
        <f>53+29</f>
        <v>82</v>
      </c>
      <c r="I10" s="12">
        <f t="shared" si="1"/>
        <v>64</v>
      </c>
      <c r="J10" s="36">
        <f t="shared" si="2"/>
        <v>0.34453781512605042</v>
      </c>
      <c r="K10" s="19">
        <f t="shared" si="3"/>
        <v>0.41359773371104813</v>
      </c>
      <c r="L10" s="19">
        <f>I10/F10</f>
        <v>0.55652173913043479</v>
      </c>
    </row>
    <row r="11" spans="1:12" s="13" customFormat="1" ht="18" customHeight="1" thickBot="1">
      <c r="A11" s="7">
        <v>10</v>
      </c>
      <c r="B11" s="11" t="s">
        <v>19</v>
      </c>
      <c r="C11" s="12">
        <v>526</v>
      </c>
      <c r="D11" s="12">
        <f>88+71</f>
        <v>159</v>
      </c>
      <c r="E11" s="12">
        <f>74+67</f>
        <v>141</v>
      </c>
      <c r="F11" s="12">
        <f t="shared" si="0"/>
        <v>18</v>
      </c>
      <c r="G11" s="12">
        <f>41+23</f>
        <v>64</v>
      </c>
      <c r="H11" s="12">
        <f>31+19</f>
        <v>50</v>
      </c>
      <c r="I11" s="12">
        <f t="shared" si="1"/>
        <v>14</v>
      </c>
      <c r="J11" s="36">
        <f t="shared" si="2"/>
        <v>0.3546099290780142</v>
      </c>
      <c r="K11" s="19">
        <f t="shared" si="3"/>
        <v>0.40251572327044027</v>
      </c>
      <c r="L11" s="19">
        <f>I11/F11</f>
        <v>0.77777777777777779</v>
      </c>
    </row>
    <row r="12" spans="1:12" s="13" customFormat="1" ht="18" customHeight="1" thickBot="1">
      <c r="A12" s="7">
        <v>11</v>
      </c>
      <c r="B12" s="11" t="s">
        <v>29</v>
      </c>
      <c r="C12" s="12">
        <v>763</v>
      </c>
      <c r="D12" s="12">
        <f>52+15</f>
        <v>67</v>
      </c>
      <c r="E12" s="12">
        <f>51+15</f>
        <v>66</v>
      </c>
      <c r="F12" s="12">
        <f t="shared" si="0"/>
        <v>1</v>
      </c>
      <c r="G12" s="12">
        <f>17+9</f>
        <v>26</v>
      </c>
      <c r="H12" s="12">
        <f>17+9</f>
        <v>26</v>
      </c>
      <c r="I12" s="12">
        <f t="shared" si="1"/>
        <v>0</v>
      </c>
      <c r="J12" s="36">
        <f t="shared" si="2"/>
        <v>0.39393939393939392</v>
      </c>
      <c r="K12" s="19">
        <f t="shared" si="3"/>
        <v>0.38805970149253732</v>
      </c>
      <c r="L12" s="19">
        <f>I12/F12</f>
        <v>0</v>
      </c>
    </row>
    <row r="13" spans="1:12" s="13" customFormat="1" ht="18" customHeight="1" thickBot="1">
      <c r="A13" s="7">
        <v>12</v>
      </c>
      <c r="B13" s="11" t="s">
        <v>23</v>
      </c>
      <c r="C13" s="12">
        <v>749</v>
      </c>
      <c r="D13" s="12">
        <f>166+91</f>
        <v>257</v>
      </c>
      <c r="E13" s="12">
        <f>144+84</f>
        <v>228</v>
      </c>
      <c r="F13" s="12">
        <f t="shared" si="0"/>
        <v>29</v>
      </c>
      <c r="G13" s="12">
        <f>34+63</f>
        <v>97</v>
      </c>
      <c r="H13" s="12">
        <f>22+54</f>
        <v>76</v>
      </c>
      <c r="I13" s="12">
        <f t="shared" si="1"/>
        <v>21</v>
      </c>
      <c r="J13" s="36">
        <f t="shared" si="2"/>
        <v>0.33333333333333331</v>
      </c>
      <c r="K13" s="25">
        <f t="shared" si="3"/>
        <v>0.37743190661478598</v>
      </c>
      <c r="L13" s="19">
        <f>I13/F13</f>
        <v>0.72413793103448276</v>
      </c>
    </row>
    <row r="14" spans="1:12" s="13" customFormat="1" ht="18" customHeight="1" thickBot="1">
      <c r="A14" s="7">
        <v>13</v>
      </c>
      <c r="B14" s="8" t="s">
        <v>5</v>
      </c>
      <c r="C14" s="9">
        <v>1095</v>
      </c>
      <c r="D14" s="9">
        <f>22+29</f>
        <v>51</v>
      </c>
      <c r="E14" s="9">
        <f>22+29</f>
        <v>51</v>
      </c>
      <c r="F14" s="12">
        <f t="shared" si="0"/>
        <v>0</v>
      </c>
      <c r="G14" s="9">
        <f>18+1</f>
        <v>19</v>
      </c>
      <c r="H14" s="9">
        <f>18+1</f>
        <v>19</v>
      </c>
      <c r="I14" s="12">
        <f t="shared" si="1"/>
        <v>0</v>
      </c>
      <c r="J14" s="36">
        <f t="shared" si="2"/>
        <v>0.37254901960784315</v>
      </c>
      <c r="K14" s="19">
        <f t="shared" si="3"/>
        <v>0.37254901960784315</v>
      </c>
      <c r="L14" s="19">
        <v>0</v>
      </c>
    </row>
    <row r="15" spans="1:12" s="13" customFormat="1" ht="18" customHeight="1" thickBot="1">
      <c r="A15" s="7">
        <v>14</v>
      </c>
      <c r="B15" s="11" t="s">
        <v>28</v>
      </c>
      <c r="C15" s="12">
        <v>872</v>
      </c>
      <c r="D15" s="12">
        <f>155+47</f>
        <v>202</v>
      </c>
      <c r="E15" s="12">
        <f>150+5</f>
        <v>155</v>
      </c>
      <c r="F15" s="12">
        <f t="shared" si="0"/>
        <v>47</v>
      </c>
      <c r="G15" s="12">
        <f>27+47</f>
        <v>74</v>
      </c>
      <c r="H15" s="12">
        <f>25+9</f>
        <v>34</v>
      </c>
      <c r="I15" s="12">
        <f t="shared" si="1"/>
        <v>40</v>
      </c>
      <c r="J15" s="36">
        <f t="shared" si="2"/>
        <v>0.21935483870967742</v>
      </c>
      <c r="K15" s="19">
        <f t="shared" si="3"/>
        <v>0.36633663366336633</v>
      </c>
      <c r="L15" s="19">
        <f>I15/F15</f>
        <v>0.85106382978723405</v>
      </c>
    </row>
    <row r="16" spans="1:12" s="13" customFormat="1" ht="18" customHeight="1" thickBot="1">
      <c r="A16" s="7">
        <v>15</v>
      </c>
      <c r="B16" s="11" t="s">
        <v>25</v>
      </c>
      <c r="C16" s="12">
        <v>1254</v>
      </c>
      <c r="D16" s="12">
        <f>235+124</f>
        <v>359</v>
      </c>
      <c r="E16" s="12">
        <f>110+82</f>
        <v>192</v>
      </c>
      <c r="F16" s="12">
        <f t="shared" si="0"/>
        <v>167</v>
      </c>
      <c r="G16" s="12">
        <f>80+49</f>
        <v>129</v>
      </c>
      <c r="H16" s="12">
        <f>72+40</f>
        <v>112</v>
      </c>
      <c r="I16" s="12">
        <f t="shared" si="1"/>
        <v>17</v>
      </c>
      <c r="J16" s="36">
        <f t="shared" si="2"/>
        <v>0.58333333333333337</v>
      </c>
      <c r="K16" s="19">
        <f t="shared" si="3"/>
        <v>0.35933147632311979</v>
      </c>
      <c r="L16" s="19">
        <f>I16/F16</f>
        <v>0.10179640718562874</v>
      </c>
    </row>
    <row r="17" spans="1:12" s="13" customFormat="1" ht="18" customHeight="1" thickBot="1">
      <c r="A17" s="7">
        <v>16</v>
      </c>
      <c r="B17" s="14" t="s">
        <v>9</v>
      </c>
      <c r="C17" s="12">
        <v>3708</v>
      </c>
      <c r="D17" s="12">
        <f>52+8</f>
        <v>60</v>
      </c>
      <c r="E17" s="12">
        <f>51+7</f>
        <v>58</v>
      </c>
      <c r="F17" s="12">
        <f t="shared" si="0"/>
        <v>2</v>
      </c>
      <c r="G17" s="12">
        <f>13+8</f>
        <v>21</v>
      </c>
      <c r="H17" s="12">
        <f>12+7</f>
        <v>19</v>
      </c>
      <c r="I17" s="12">
        <f t="shared" si="1"/>
        <v>2</v>
      </c>
      <c r="J17" s="36">
        <f t="shared" si="2"/>
        <v>0.32758620689655171</v>
      </c>
      <c r="K17" s="25">
        <f t="shared" si="3"/>
        <v>0.35</v>
      </c>
      <c r="L17" s="19">
        <f>I17/F17</f>
        <v>1</v>
      </c>
    </row>
    <row r="18" spans="1:12" s="13" customFormat="1" ht="18" customHeight="1" thickBot="1">
      <c r="A18" s="7">
        <v>17</v>
      </c>
      <c r="B18" s="14" t="s">
        <v>11</v>
      </c>
      <c r="C18" s="12">
        <v>580</v>
      </c>
      <c r="D18" s="12">
        <f>19+49</f>
        <v>68</v>
      </c>
      <c r="E18" s="12">
        <f>13+45</f>
        <v>58</v>
      </c>
      <c r="F18" s="12">
        <f t="shared" si="0"/>
        <v>10</v>
      </c>
      <c r="G18" s="12">
        <f>10+13</f>
        <v>23</v>
      </c>
      <c r="H18" s="12">
        <f>10+13</f>
        <v>23</v>
      </c>
      <c r="I18" s="12">
        <f t="shared" si="1"/>
        <v>0</v>
      </c>
      <c r="J18" s="36">
        <f t="shared" si="2"/>
        <v>0.39655172413793105</v>
      </c>
      <c r="K18" s="25">
        <f t="shared" si="3"/>
        <v>0.33823529411764708</v>
      </c>
      <c r="L18" s="19">
        <v>0</v>
      </c>
    </row>
    <row r="19" spans="1:12" s="13" customFormat="1" ht="18" customHeight="1" thickBot="1">
      <c r="A19" s="7">
        <v>18</v>
      </c>
      <c r="B19" s="11" t="s">
        <v>47</v>
      </c>
      <c r="C19" s="12">
        <v>5410</v>
      </c>
      <c r="D19" s="12">
        <f>125+75</f>
        <v>200</v>
      </c>
      <c r="E19" s="12">
        <f>86+55</f>
        <v>141</v>
      </c>
      <c r="F19" s="12">
        <f t="shared" si="0"/>
        <v>59</v>
      </c>
      <c r="G19" s="12">
        <f>29+35</f>
        <v>64</v>
      </c>
      <c r="H19" s="12">
        <f>15+33</f>
        <v>48</v>
      </c>
      <c r="I19" s="12">
        <f t="shared" si="1"/>
        <v>16</v>
      </c>
      <c r="J19" s="36">
        <f t="shared" si="2"/>
        <v>0.34042553191489361</v>
      </c>
      <c r="K19" s="25">
        <f t="shared" si="3"/>
        <v>0.32</v>
      </c>
      <c r="L19" s="19">
        <f>I19/F19</f>
        <v>0.2711864406779661</v>
      </c>
    </row>
    <row r="20" spans="1:12" s="13" customFormat="1" ht="18" customHeight="1" thickBot="1">
      <c r="A20" s="7">
        <v>19</v>
      </c>
      <c r="B20" s="11" t="s">
        <v>17</v>
      </c>
      <c r="C20" s="12">
        <v>888</v>
      </c>
      <c r="D20" s="12">
        <v>33</v>
      </c>
      <c r="E20" s="12">
        <v>33</v>
      </c>
      <c r="F20" s="12">
        <f t="shared" si="0"/>
        <v>0</v>
      </c>
      <c r="G20" s="12">
        <f>8+2</f>
        <v>10</v>
      </c>
      <c r="H20" s="12">
        <f>8+2</f>
        <v>10</v>
      </c>
      <c r="I20" s="12">
        <f t="shared" si="1"/>
        <v>0</v>
      </c>
      <c r="J20" s="36">
        <f t="shared" si="2"/>
        <v>0.30303030303030304</v>
      </c>
      <c r="K20" s="25">
        <f t="shared" si="3"/>
        <v>0.30303030303030304</v>
      </c>
      <c r="L20" s="19">
        <v>0</v>
      </c>
    </row>
    <row r="21" spans="1:12" s="13" customFormat="1" ht="18" customHeight="1" thickBot="1">
      <c r="A21" s="7">
        <v>20</v>
      </c>
      <c r="B21" s="11" t="s">
        <v>18</v>
      </c>
      <c r="C21" s="12">
        <v>745</v>
      </c>
      <c r="D21" s="12">
        <f>15+30</f>
        <v>45</v>
      </c>
      <c r="E21" s="12">
        <f>14+22</f>
        <v>36</v>
      </c>
      <c r="F21" s="12">
        <f t="shared" si="0"/>
        <v>9</v>
      </c>
      <c r="G21" s="12">
        <f>11+2</f>
        <v>13</v>
      </c>
      <c r="H21" s="12">
        <f>11+2</f>
        <v>13</v>
      </c>
      <c r="I21" s="12">
        <f t="shared" si="1"/>
        <v>0</v>
      </c>
      <c r="J21" s="36">
        <f t="shared" si="2"/>
        <v>0.3611111111111111</v>
      </c>
      <c r="K21" s="19">
        <f t="shared" si="3"/>
        <v>0.28888888888888886</v>
      </c>
      <c r="L21" s="19">
        <f>I21/F21</f>
        <v>0</v>
      </c>
    </row>
    <row r="22" spans="1:12" s="13" customFormat="1" ht="18" customHeight="1" thickBot="1">
      <c r="A22" s="7">
        <v>21</v>
      </c>
      <c r="B22" s="11" t="s">
        <v>26</v>
      </c>
      <c r="C22" s="12">
        <f>33505+160</f>
        <v>33665</v>
      </c>
      <c r="D22" s="12">
        <f>D43</f>
        <v>1312</v>
      </c>
      <c r="E22" s="12">
        <f>E43</f>
        <v>1112</v>
      </c>
      <c r="F22" s="12">
        <f t="shared" si="0"/>
        <v>200</v>
      </c>
      <c r="G22" s="12">
        <f>G43</f>
        <v>330</v>
      </c>
      <c r="H22" s="12">
        <f>H43</f>
        <v>249</v>
      </c>
      <c r="I22" s="12">
        <f t="shared" si="1"/>
        <v>81</v>
      </c>
      <c r="J22" s="36">
        <f t="shared" si="2"/>
        <v>0.22392086330935251</v>
      </c>
      <c r="K22" s="19">
        <f t="shared" si="3"/>
        <v>0.25152439024390244</v>
      </c>
      <c r="L22" s="19">
        <f>I22/F22</f>
        <v>0.40500000000000003</v>
      </c>
    </row>
    <row r="23" spans="1:12" s="13" customFormat="1" ht="18" customHeight="1" thickBot="1">
      <c r="A23" s="7">
        <v>22</v>
      </c>
      <c r="B23" s="11" t="s">
        <v>27</v>
      </c>
      <c r="C23" s="12">
        <f>74+200</f>
        <v>274</v>
      </c>
      <c r="D23" s="12">
        <f>14+15</f>
        <v>29</v>
      </c>
      <c r="E23" s="12">
        <f>11+15</f>
        <v>26</v>
      </c>
      <c r="F23" s="12">
        <f t="shared" si="0"/>
        <v>3</v>
      </c>
      <c r="G23" s="12">
        <f>7</f>
        <v>7</v>
      </c>
      <c r="H23" s="12">
        <v>4</v>
      </c>
      <c r="I23" s="12">
        <f t="shared" si="1"/>
        <v>3</v>
      </c>
      <c r="J23" s="36">
        <f t="shared" si="2"/>
        <v>0.15384615384615385</v>
      </c>
      <c r="K23" s="19">
        <f t="shared" si="3"/>
        <v>0.2413793103448276</v>
      </c>
      <c r="L23" s="19">
        <v>0</v>
      </c>
    </row>
    <row r="24" spans="1:12" s="13" customFormat="1" ht="18" customHeight="1" thickBot="1">
      <c r="A24" s="7">
        <v>23</v>
      </c>
      <c r="B24" s="11" t="s">
        <v>24</v>
      </c>
      <c r="C24" s="12">
        <v>7115</v>
      </c>
      <c r="D24" s="12">
        <f>93+24</f>
        <v>117</v>
      </c>
      <c r="E24" s="12">
        <f>89+19</f>
        <v>108</v>
      </c>
      <c r="F24" s="12">
        <f t="shared" si="0"/>
        <v>9</v>
      </c>
      <c r="G24" s="12">
        <f>6+16</f>
        <v>22</v>
      </c>
      <c r="H24" s="12">
        <f>6+12</f>
        <v>18</v>
      </c>
      <c r="I24" s="12">
        <f t="shared" si="1"/>
        <v>4</v>
      </c>
      <c r="J24" s="36">
        <f t="shared" si="2"/>
        <v>0.16666666666666666</v>
      </c>
      <c r="K24" s="25">
        <f t="shared" si="3"/>
        <v>0.18803418803418803</v>
      </c>
      <c r="L24" s="19">
        <f>I24/F24</f>
        <v>0.44444444444444442</v>
      </c>
    </row>
    <row r="25" spans="1:12" s="13" customFormat="1" ht="18" customHeight="1" thickBot="1">
      <c r="A25" s="7">
        <v>24</v>
      </c>
      <c r="B25" s="11" t="s">
        <v>15</v>
      </c>
      <c r="C25" s="12">
        <v>1328</v>
      </c>
      <c r="D25" s="12">
        <f>49+31</f>
        <v>80</v>
      </c>
      <c r="E25" s="12">
        <f>47+28</f>
        <v>75</v>
      </c>
      <c r="F25" s="12">
        <f t="shared" si="0"/>
        <v>5</v>
      </c>
      <c r="G25" s="12">
        <f>7+3</f>
        <v>10</v>
      </c>
      <c r="H25" s="12">
        <f>6+1</f>
        <v>7</v>
      </c>
      <c r="I25" s="12">
        <f t="shared" si="1"/>
        <v>3</v>
      </c>
      <c r="J25" s="36">
        <f t="shared" si="2"/>
        <v>9.3333333333333338E-2</v>
      </c>
      <c r="K25" s="19">
        <f t="shared" si="3"/>
        <v>0.125</v>
      </c>
      <c r="L25" s="19">
        <f>I25/F25</f>
        <v>0.6</v>
      </c>
    </row>
    <row r="26" spans="1:12" s="13" customFormat="1" ht="18" customHeight="1" thickBot="1">
      <c r="A26" s="7">
        <v>25</v>
      </c>
      <c r="B26" s="11" t="s">
        <v>8</v>
      </c>
      <c r="C26" s="12">
        <v>2068</v>
      </c>
      <c r="D26" s="12">
        <f>46+55</f>
        <v>101</v>
      </c>
      <c r="E26" s="12">
        <f>46+42</f>
        <v>88</v>
      </c>
      <c r="F26" s="12">
        <f t="shared" si="0"/>
        <v>13</v>
      </c>
      <c r="G26" s="12">
        <f>9+3</f>
        <v>12</v>
      </c>
      <c r="H26" s="12">
        <f>9+2</f>
        <v>11</v>
      </c>
      <c r="I26" s="12">
        <f t="shared" si="1"/>
        <v>1</v>
      </c>
      <c r="J26" s="36">
        <f t="shared" si="2"/>
        <v>0.125</v>
      </c>
      <c r="K26" s="19">
        <f t="shared" si="3"/>
        <v>0.11881188118811881</v>
      </c>
      <c r="L26" s="19">
        <v>0</v>
      </c>
    </row>
    <row r="27" spans="1:12" s="13" customFormat="1" ht="18" customHeight="1" thickBot="1">
      <c r="A27" s="7">
        <v>26</v>
      </c>
      <c r="B27" s="11" t="s">
        <v>16</v>
      </c>
      <c r="C27" s="12">
        <v>1838</v>
      </c>
      <c r="D27" s="12">
        <f>123+78</f>
        <v>201</v>
      </c>
      <c r="E27" s="12">
        <f>111+64</f>
        <v>175</v>
      </c>
      <c r="F27" s="12">
        <f t="shared" si="0"/>
        <v>26</v>
      </c>
      <c r="G27" s="12">
        <v>13</v>
      </c>
      <c r="H27" s="12">
        <v>1</v>
      </c>
      <c r="I27" s="12">
        <f t="shared" si="1"/>
        <v>12</v>
      </c>
      <c r="J27" s="36">
        <f t="shared" si="2"/>
        <v>5.7142857142857143E-3</v>
      </c>
      <c r="K27" s="19">
        <f t="shared" si="3"/>
        <v>6.4676616915422883E-2</v>
      </c>
      <c r="L27" s="19">
        <f>I27/F27</f>
        <v>0.46153846153846156</v>
      </c>
    </row>
    <row r="28" spans="1:12" s="13" customFormat="1" ht="18" customHeight="1" thickBot="1">
      <c r="A28" s="7">
        <v>27</v>
      </c>
      <c r="B28" s="11" t="s">
        <v>22</v>
      </c>
      <c r="C28" s="12">
        <v>1572</v>
      </c>
      <c r="D28" s="12">
        <v>18</v>
      </c>
      <c r="E28" s="12">
        <v>16</v>
      </c>
      <c r="F28" s="12">
        <f t="shared" si="0"/>
        <v>2</v>
      </c>
      <c r="G28" s="12">
        <v>1</v>
      </c>
      <c r="H28" s="12">
        <v>0</v>
      </c>
      <c r="I28" s="12">
        <f t="shared" si="1"/>
        <v>1</v>
      </c>
      <c r="J28" s="36">
        <f t="shared" si="2"/>
        <v>0</v>
      </c>
      <c r="K28" s="19">
        <f t="shared" si="3"/>
        <v>5.5555555555555552E-2</v>
      </c>
      <c r="L28" s="19">
        <f>I28/F28</f>
        <v>0.5</v>
      </c>
    </row>
    <row r="29" spans="1:12" s="13" customFormat="1" ht="18" customHeight="1" thickBot="1">
      <c r="A29" s="7">
        <v>28</v>
      </c>
      <c r="B29" s="11" t="s">
        <v>10</v>
      </c>
      <c r="C29" s="12">
        <v>954</v>
      </c>
      <c r="D29" s="12">
        <f>1+33</f>
        <v>34</v>
      </c>
      <c r="E29" s="12">
        <f>1+31</f>
        <v>32</v>
      </c>
      <c r="F29" s="12">
        <f t="shared" si="0"/>
        <v>2</v>
      </c>
      <c r="G29" s="12">
        <v>10</v>
      </c>
      <c r="H29" s="12">
        <v>9</v>
      </c>
      <c r="I29" s="12">
        <f t="shared" si="1"/>
        <v>1</v>
      </c>
      <c r="J29" s="36">
        <v>0</v>
      </c>
      <c r="K29" s="19">
        <v>0</v>
      </c>
      <c r="L29" s="19">
        <v>0</v>
      </c>
    </row>
    <row r="30" spans="1:12" s="13" customFormat="1" ht="18" customHeight="1" thickBot="1">
      <c r="A30" s="7">
        <v>29</v>
      </c>
      <c r="B30" s="11" t="s">
        <v>14</v>
      </c>
      <c r="C30" s="12">
        <v>721</v>
      </c>
      <c r="D30" s="12">
        <v>6</v>
      </c>
      <c r="E30" s="12">
        <v>6</v>
      </c>
      <c r="F30" s="12">
        <f t="shared" si="0"/>
        <v>0</v>
      </c>
      <c r="G30" s="12">
        <v>0</v>
      </c>
      <c r="H30" s="12">
        <v>0</v>
      </c>
      <c r="I30" s="12">
        <f t="shared" si="1"/>
        <v>0</v>
      </c>
      <c r="J30" s="36">
        <f>H30/E30</f>
        <v>0</v>
      </c>
      <c r="K30" s="19">
        <f>G30/D30</f>
        <v>0</v>
      </c>
      <c r="L30" s="19">
        <v>0</v>
      </c>
    </row>
    <row r="31" spans="1:12" ht="19.5" thickBot="1">
      <c r="J31" s="37"/>
      <c r="L31" s="17"/>
    </row>
    <row r="32" spans="1:12" ht="19.5" thickBot="1">
      <c r="B32" s="27" t="s">
        <v>32</v>
      </c>
      <c r="C32" s="28">
        <f>SUM(C2:C31)</f>
        <v>87668</v>
      </c>
      <c r="D32" s="28">
        <f>SUM(D2:D31)</f>
        <v>4632</v>
      </c>
      <c r="E32" s="21">
        <f>SUM(E2:E30)</f>
        <v>3824</v>
      </c>
      <c r="F32" s="12">
        <f>D32-E32</f>
        <v>808</v>
      </c>
      <c r="G32" s="21">
        <f>SUM(G2:G31)</f>
        <v>1516</v>
      </c>
      <c r="H32" s="21">
        <f>SUM(H2:H31)</f>
        <v>1183</v>
      </c>
      <c r="I32" s="21">
        <f>SUM(I2:I30)</f>
        <v>333</v>
      </c>
      <c r="J32" s="26">
        <f>H32/E32</f>
        <v>0.30936192468619245</v>
      </c>
      <c r="K32" s="15">
        <f>G32/D32</f>
        <v>0.32728842832469773</v>
      </c>
      <c r="L32" s="17">
        <f>I32/F32</f>
        <v>0.41212871287128711</v>
      </c>
    </row>
    <row r="33" spans="1:12" ht="18.75">
      <c r="K33" s="6"/>
    </row>
    <row r="34" spans="1:12">
      <c r="G34" s="20"/>
      <c r="H34" s="20"/>
    </row>
    <row r="35" spans="1:12">
      <c r="G35" s="20"/>
      <c r="H35" s="20"/>
    </row>
    <row r="36" spans="1:12" ht="18.75">
      <c r="B36" s="3" t="s">
        <v>39</v>
      </c>
    </row>
    <row r="37" spans="1:12" ht="19.5" thickBot="1">
      <c r="A37" s="5">
        <v>1</v>
      </c>
      <c r="B37" s="27" t="s">
        <v>37</v>
      </c>
      <c r="C37" s="4"/>
      <c r="D37" s="35">
        <f>91+43</f>
        <v>134</v>
      </c>
      <c r="E37" s="29">
        <f>49+31</f>
        <v>80</v>
      </c>
      <c r="F37" s="12">
        <f>D37-E37</f>
        <v>54</v>
      </c>
      <c r="G37" s="33">
        <f>50+21</f>
        <v>71</v>
      </c>
      <c r="H37" s="30">
        <f>31+12</f>
        <v>43</v>
      </c>
      <c r="I37" s="21">
        <f>G37-H37</f>
        <v>28</v>
      </c>
      <c r="J37" s="32">
        <f>H37/E37</f>
        <v>0.53749999999999998</v>
      </c>
      <c r="K37" s="15">
        <f>G37/D37</f>
        <v>0.52985074626865669</v>
      </c>
      <c r="L37" s="15">
        <f>I37/F37</f>
        <v>0.51851851851851849</v>
      </c>
    </row>
    <row r="38" spans="1:12" ht="19.5" thickBot="1">
      <c r="A38" s="5">
        <v>2</v>
      </c>
      <c r="B38" s="27" t="s">
        <v>35</v>
      </c>
      <c r="C38" s="4"/>
      <c r="D38" s="35">
        <f>101+350</f>
        <v>451</v>
      </c>
      <c r="E38" s="29">
        <f>101+350</f>
        <v>451</v>
      </c>
      <c r="F38" s="12">
        <f>D38-E38</f>
        <v>0</v>
      </c>
      <c r="G38" s="33">
        <f>29+5+4+11+60</f>
        <v>109</v>
      </c>
      <c r="H38" s="30">
        <f>29+5+4+11+60</f>
        <v>109</v>
      </c>
      <c r="I38" s="21">
        <f>G38-H38</f>
        <v>0</v>
      </c>
      <c r="J38" s="32">
        <f>H38/E38</f>
        <v>0.24168514412416853</v>
      </c>
      <c r="K38" s="15">
        <f>G38/D38</f>
        <v>0.24168514412416853</v>
      </c>
      <c r="L38" s="15">
        <v>0</v>
      </c>
    </row>
    <row r="39" spans="1:12" ht="19.5" thickBot="1">
      <c r="A39" s="5">
        <v>3</v>
      </c>
      <c r="B39" s="27" t="s">
        <v>36</v>
      </c>
      <c r="C39" s="4"/>
      <c r="D39" s="35">
        <f>104+20+227</f>
        <v>351</v>
      </c>
      <c r="E39" s="29">
        <f>87+4+124</f>
        <v>215</v>
      </c>
      <c r="F39" s="12">
        <f>D39-E39</f>
        <v>136</v>
      </c>
      <c r="G39" s="33">
        <f>35+1+12+84</f>
        <v>132</v>
      </c>
      <c r="H39" s="30">
        <f>32+1+6+40</f>
        <v>79</v>
      </c>
      <c r="I39" s="21">
        <f>G39-H39</f>
        <v>53</v>
      </c>
      <c r="J39" s="32">
        <f>H39/E39</f>
        <v>0.36744186046511629</v>
      </c>
      <c r="K39" s="15">
        <f>G39/D39</f>
        <v>0.37606837606837606</v>
      </c>
      <c r="L39" s="15">
        <f>I39/F39</f>
        <v>0.38970588235294118</v>
      </c>
    </row>
    <row r="40" spans="1:12" ht="19.5" thickBot="1">
      <c r="A40" s="5">
        <v>4</v>
      </c>
      <c r="B40" s="27" t="s">
        <v>38</v>
      </c>
      <c r="C40" s="4"/>
      <c r="D40" s="35">
        <f>173+179</f>
        <v>352</v>
      </c>
      <c r="E40" s="29">
        <f>169+173</f>
        <v>342</v>
      </c>
      <c r="F40" s="12">
        <f>D40-E40</f>
        <v>10</v>
      </c>
      <c r="G40" s="33">
        <f>2+11</f>
        <v>13</v>
      </c>
      <c r="H40" s="30">
        <f>2+11</f>
        <v>13</v>
      </c>
      <c r="I40" s="21">
        <f>G40-H40</f>
        <v>0</v>
      </c>
      <c r="J40" s="32">
        <f>H40/E40</f>
        <v>3.8011695906432746E-2</v>
      </c>
      <c r="K40" s="15">
        <f>G40/D40</f>
        <v>3.6931818181818184E-2</v>
      </c>
      <c r="L40" s="15">
        <f>I40/F40</f>
        <v>0</v>
      </c>
    </row>
    <row r="41" spans="1:12" ht="19.5" thickBot="1">
      <c r="A41" s="5">
        <v>5</v>
      </c>
      <c r="B41" s="27" t="s">
        <v>48</v>
      </c>
      <c r="C41" s="4"/>
      <c r="D41" s="35">
        <v>24</v>
      </c>
      <c r="E41" s="29">
        <v>24</v>
      </c>
      <c r="F41" s="12">
        <f>D41-E41</f>
        <v>0</v>
      </c>
      <c r="G41" s="34">
        <v>5</v>
      </c>
      <c r="H41" s="31">
        <v>5</v>
      </c>
      <c r="I41" s="21">
        <f>G41-H41</f>
        <v>0</v>
      </c>
      <c r="J41" s="32">
        <v>0</v>
      </c>
      <c r="K41" s="15">
        <v>0</v>
      </c>
      <c r="L41" s="15">
        <v>0</v>
      </c>
    </row>
    <row r="42" spans="1:12" ht="19.5" thickBot="1">
      <c r="F42" s="23"/>
      <c r="G42" s="24"/>
      <c r="H42" s="24"/>
      <c r="I42" s="23"/>
      <c r="L42" s="17"/>
    </row>
    <row r="43" spans="1:12" ht="19.5" thickBot="1">
      <c r="B43" s="27" t="s">
        <v>41</v>
      </c>
      <c r="C43" s="21">
        <f>C9</f>
        <v>1881</v>
      </c>
      <c r="D43" s="21">
        <f>SUM(D37:D42)</f>
        <v>1312</v>
      </c>
      <c r="E43" s="21">
        <f>SUM(E37:E42)</f>
        <v>1112</v>
      </c>
      <c r="F43" s="12">
        <f>SUM(F37:F41)</f>
        <v>200</v>
      </c>
      <c r="G43" s="22">
        <f>SUM(G37:G42)</f>
        <v>330</v>
      </c>
      <c r="H43" s="22">
        <f>SUM(H37:H42)</f>
        <v>249</v>
      </c>
      <c r="I43" s="22">
        <f>G43-H43</f>
        <v>81</v>
      </c>
      <c r="J43" s="26">
        <f>H43/E43</f>
        <v>0.22392086330935251</v>
      </c>
      <c r="K43" s="15">
        <f>G43/D43</f>
        <v>0.25152439024390244</v>
      </c>
      <c r="L43" s="17">
        <f>I43/F43</f>
        <v>0.40500000000000003</v>
      </c>
    </row>
  </sheetData>
  <sortState ref="A2:L30">
    <sortCondition descending="1" ref="K2"/>
  </sortState>
  <pageMargins left="0.25" right="0.25" top="0.75" bottom="0.75" header="0.3" footer="0.3"/>
  <pageSetup paperSize="9" scale="5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H8"/>
  <sheetViews>
    <sheetView workbookViewId="0">
      <selection activeCell="E8" sqref="E8"/>
    </sheetView>
  </sheetViews>
  <sheetFormatPr defaultRowHeight="15"/>
  <sheetData>
    <row r="6" spans="2:8">
      <c r="B6" t="s">
        <v>49</v>
      </c>
      <c r="C6" t="s">
        <v>50</v>
      </c>
      <c r="D6" t="s">
        <v>51</v>
      </c>
      <c r="E6" t="s">
        <v>52</v>
      </c>
      <c r="F6" t="s">
        <v>55</v>
      </c>
      <c r="G6" t="s">
        <v>53</v>
      </c>
      <c r="H6" t="s">
        <v>54</v>
      </c>
    </row>
    <row r="7" spans="2:8">
      <c r="B7">
        <v>100</v>
      </c>
      <c r="C7">
        <f>E7+F7</f>
        <v>50</v>
      </c>
      <c r="D7">
        <v>40</v>
      </c>
      <c r="E7">
        <f>B7*0.6-D7</f>
        <v>20</v>
      </c>
      <c r="F7">
        <v>30</v>
      </c>
      <c r="G7">
        <f>D7/B7</f>
        <v>0.4</v>
      </c>
      <c r="H7">
        <f>(E7+D7+F7)/(C7+B7)</f>
        <v>0.6</v>
      </c>
    </row>
    <row r="8" spans="2:8">
      <c r="B8">
        <v>659</v>
      </c>
      <c r="C8">
        <f>E8+F8</f>
        <v>595.4</v>
      </c>
      <c r="D8">
        <v>160</v>
      </c>
      <c r="E8">
        <f>B8*0.6-D8</f>
        <v>235.39999999999998</v>
      </c>
      <c r="F8">
        <v>360</v>
      </c>
      <c r="G8">
        <f>D8/B8</f>
        <v>0.24279210925644917</v>
      </c>
      <c r="H8">
        <f>(E8+D8+F8)/(C8+B8)</f>
        <v>0.60220025510204078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год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ГТО</dc:creator>
  <cp:lastModifiedBy>Пользователь</cp:lastModifiedBy>
  <cp:lastPrinted>2019-10-29T07:14:55Z</cp:lastPrinted>
  <dcterms:created xsi:type="dcterms:W3CDTF">2018-10-29T07:05:43Z</dcterms:created>
  <dcterms:modified xsi:type="dcterms:W3CDTF">2020-11-24T04:51:11Z</dcterms:modified>
</cp:coreProperties>
</file>